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ОКС\Shenemeckay MA\1 ДПМ 2020-2024\РАСТОРЖЕНИЕ ДПМ\1. На торги все ЛОТЫ\5. Электрика, освещение\"/>
    </mc:Choice>
  </mc:AlternateContent>
  <bookViews>
    <workbookView xWindow="120" yWindow="120" windowWidth="15450" windowHeight="11760"/>
  </bookViews>
  <sheets>
    <sheet name="000" sheetId="4" r:id="rId1"/>
  </sheets>
  <definedNames>
    <definedName name="_xlnm.Print_Area" localSheetId="0">'000'!$A$1:$G$109</definedName>
  </definedNames>
  <calcPr calcId="162913"/>
</workbook>
</file>

<file path=xl/calcChain.xml><?xml version="1.0" encoding="utf-8"?>
<calcChain xmlns="http://schemas.openxmlformats.org/spreadsheetml/2006/main">
  <c r="G87" i="4" l="1"/>
  <c r="F86" i="4"/>
  <c r="F85" i="4"/>
  <c r="G85" i="4"/>
  <c r="F84" i="4" l="1"/>
  <c r="G84" i="4" s="1"/>
  <c r="F83" i="4"/>
  <c r="G83" i="4" s="1"/>
  <c r="F82" i="4"/>
  <c r="G82" i="4" s="1"/>
  <c r="F81" i="4"/>
  <c r="G81" i="4" s="1"/>
  <c r="F80" i="4"/>
  <c r="G80" i="4" s="1"/>
  <c r="F79" i="4"/>
  <c r="G79" i="4" s="1"/>
  <c r="F78" i="4"/>
  <c r="G78" i="4" s="1"/>
  <c r="F77" i="4"/>
  <c r="G77" i="4" s="1"/>
  <c r="F76" i="4"/>
  <c r="G76" i="4" s="1"/>
  <c r="F75" i="4"/>
  <c r="G75" i="4" s="1"/>
  <c r="F74" i="4"/>
  <c r="G74" i="4" s="1"/>
  <c r="F73" i="4"/>
  <c r="G73" i="4" s="1"/>
  <c r="F72" i="4"/>
  <c r="G72" i="4" s="1"/>
  <c r="F71" i="4"/>
  <c r="G71" i="4" s="1"/>
  <c r="F70" i="4"/>
  <c r="G70" i="4" s="1"/>
  <c r="F69" i="4"/>
  <c r="G69" i="4" s="1"/>
  <c r="F68" i="4"/>
  <c r="H84" i="4" l="1"/>
  <c r="F66" i="4"/>
  <c r="F65" i="4"/>
  <c r="G68" i="4" l="1"/>
  <c r="G66" i="4"/>
  <c r="G65" i="4"/>
  <c r="F67" i="4"/>
  <c r="G67" i="4" s="1"/>
  <c r="F64" i="4"/>
  <c r="G64" i="4" s="1"/>
  <c r="F63" i="4"/>
  <c r="G63" i="4" s="1"/>
  <c r="F62" i="4"/>
  <c r="G62" i="4" s="1"/>
  <c r="F61" i="4"/>
  <c r="G61" i="4" s="1"/>
  <c r="F60" i="4"/>
  <c r="G60" i="4" s="1"/>
  <c r="F59" i="4"/>
  <c r="G59" i="4" s="1"/>
  <c r="F58" i="4"/>
  <c r="G58" i="4" s="1"/>
  <c r="F57" i="4"/>
  <c r="G57" i="4" s="1"/>
  <c r="F56" i="4"/>
  <c r="G56" i="4" s="1"/>
  <c r="F55" i="4"/>
  <c r="G55" i="4" s="1"/>
  <c r="F54" i="4"/>
  <c r="G54" i="4" s="1"/>
  <c r="F53" i="4"/>
  <c r="G53" i="4" s="1"/>
  <c r="F52" i="4"/>
  <c r="G52" i="4" s="1"/>
  <c r="F43" i="4"/>
  <c r="G43" i="4" s="1"/>
  <c r="F51" i="4"/>
  <c r="G51" i="4" s="1"/>
  <c r="F50" i="4"/>
  <c r="G50" i="4" s="1"/>
  <c r="F49" i="4"/>
  <c r="G49" i="4" s="1"/>
  <c r="F48" i="4"/>
  <c r="G48" i="4" s="1"/>
  <c r="F47" i="4"/>
  <c r="G47" i="4" s="1"/>
  <c r="F46" i="4"/>
  <c r="G46" i="4" s="1"/>
  <c r="F45" i="4"/>
  <c r="G45" i="4" s="1"/>
  <c r="F44" i="4"/>
  <c r="G44" i="4" s="1"/>
  <c r="F42" i="4"/>
  <c r="G42" i="4" s="1"/>
  <c r="F41" i="4"/>
  <c r="G41" i="4" s="1"/>
  <c r="F40" i="4"/>
  <c r="H68" i="4" l="1"/>
  <c r="G40" i="4"/>
  <c r="F39" i="4"/>
  <c r="G39" i="4" l="1"/>
  <c r="F38" i="4"/>
  <c r="G38" i="4" s="1"/>
  <c r="F37" i="4"/>
  <c r="G37" i="4" s="1"/>
  <c r="F36" i="4"/>
  <c r="G36" i="4" s="1"/>
  <c r="F35" i="4"/>
  <c r="G35" i="4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F28" i="4"/>
  <c r="H39" i="4" l="1"/>
  <c r="H35" i="4"/>
  <c r="G86" i="4"/>
  <c r="G28" i="4"/>
  <c r="F27" i="4"/>
  <c r="G27" i="4" s="1"/>
  <c r="F26" i="4"/>
  <c r="H28" i="4" l="1"/>
  <c r="G26" i="4"/>
  <c r="G25" i="4"/>
  <c r="G24" i="4"/>
  <c r="F25" i="4"/>
  <c r="F24" i="4"/>
  <c r="F23" i="4"/>
  <c r="G23" i="4" s="1"/>
  <c r="F22" i="4"/>
  <c r="G22" i="4" s="1"/>
  <c r="H22" i="4" s="1"/>
  <c r="F21" i="4"/>
  <c r="F20" i="4"/>
  <c r="H26" i="4" l="1"/>
  <c r="F19" i="4"/>
  <c r="G19" i="4" s="1"/>
  <c r="H19" i="4" s="1"/>
  <c r="G105" i="4" l="1"/>
  <c r="F18" i="4"/>
  <c r="G18" i="4" s="1"/>
  <c r="F17" i="4"/>
  <c r="G17" i="4" s="1"/>
  <c r="F16" i="4"/>
  <c r="G16" i="4" s="1"/>
  <c r="F15" i="4"/>
  <c r="G15" i="4" s="1"/>
  <c r="F14" i="4"/>
  <c r="G14" i="4" l="1"/>
  <c r="H18" i="4" l="1"/>
</calcChain>
</file>

<file path=xl/sharedStrings.xml><?xml version="1.0" encoding="utf-8"?>
<sst xmlns="http://schemas.openxmlformats.org/spreadsheetml/2006/main" count="290" uniqueCount="187">
  <si>
    <t>ПРОТОКОЛ</t>
  </si>
  <si>
    <t>№ пп</t>
  </si>
  <si>
    <t>Наименование</t>
  </si>
  <si>
    <t>Ед. изм.</t>
  </si>
  <si>
    <t>Кол-во</t>
  </si>
  <si>
    <t>разделения поставки материалов и оборудования</t>
  </si>
  <si>
    <t xml:space="preserve"> Материалы, не указанные в настоящем протоколе поставляются Подрядчиком.</t>
  </si>
  <si>
    <t>1</t>
  </si>
  <si>
    <t>Цена за ед., руб</t>
  </si>
  <si>
    <t>Стоимость, руб</t>
  </si>
  <si>
    <t xml:space="preserve">Начальник ОКС филиала ТЭЦ-6         </t>
  </si>
  <si>
    <t>С.Н. Костоглодов</t>
  </si>
  <si>
    <t xml:space="preserve">Материалы поставки Заказчика </t>
  </si>
  <si>
    <t>ИТОГО материалы</t>
  </si>
  <si>
    <t>Срок поставки</t>
  </si>
  <si>
    <t>УТВЕРЖДАЮ</t>
  </si>
  <si>
    <t xml:space="preserve">Директор филиала ООО "Байкальская </t>
  </si>
  <si>
    <t>энергетическая компания" ТЭЦ-6</t>
  </si>
  <si>
    <t>________________С.И.Коноплев</t>
  </si>
  <si>
    <t>"______ " ____________2023г.</t>
  </si>
  <si>
    <t xml:space="preserve">Оборудование поставки Заказчика </t>
  </si>
  <si>
    <t>ИТОГО оборудование</t>
  </si>
  <si>
    <t>шт</t>
  </si>
  <si>
    <t>Розетка штепсельная двухполюсная открытой установки РСб20-3-ГБ</t>
  </si>
  <si>
    <t>Светильник ручной влагозащищенный IP54 НРП-01-60-001 12/42 W УХЛ1</t>
  </si>
  <si>
    <t>Кнопочный выключатель 6 А, 220 В, для открытой установки, IP66, серии Plexo 0 904 62</t>
  </si>
  <si>
    <t>Розетка штепсельная двухполюсная открытой установки, 10А, 42В (для сети 12В), IP43 РШ-п-2-IP43-01-10/42 УХЛ2</t>
  </si>
  <si>
    <t>Лампы накаливания, цоколь Е27, 12 В, 40 Вт</t>
  </si>
  <si>
    <t>Ящики, тип ЯТП-0.25, с трансформатором понижающим</t>
  </si>
  <si>
    <t>Муфта концевая кабельная 3ПКТп -6- 70/120 (Б)</t>
  </si>
  <si>
    <t>ПЛАСТИКОВЫЙ РАМНЫЙ АНКЕР HRD-H 10x120</t>
  </si>
  <si>
    <t>Коробка кабельная распределительная (HENSEL) К 9105</t>
  </si>
  <si>
    <t>Розетка открытой проводки с заземлением</t>
  </si>
  <si>
    <t>100шт</t>
  </si>
  <si>
    <t>компл.</t>
  </si>
  <si>
    <t>Провод с медной жилой с изоляцией ПВХ пластиката желто-зеленый ПуГВ 1х16</t>
  </si>
  <si>
    <t>м</t>
  </si>
  <si>
    <t>Наконечники кабельные медные луженые под опрессовку 16-6-6-М УХЛ3</t>
  </si>
  <si>
    <t>Наконечники кабельные медные луженные ТМЛ-35</t>
  </si>
  <si>
    <t>Провод силовой установочный с медными жилами ПуГВ 1х35-450</t>
  </si>
  <si>
    <t>1000м</t>
  </si>
  <si>
    <t>Муфта концевая кабельная термоусаживаемая 5ПКТп-1-25/50</t>
  </si>
  <si>
    <t>Ящики силовые серии ЯВЗШ, типа ЯВЗШ-31-У2 IP44 / Ящик ЯВЗШ-31-100</t>
  </si>
  <si>
    <t>ШИНА НЕЙТРАЛИ NLS-CU 3/10 SN 1000MM</t>
  </si>
  <si>
    <t>Зажим для экрана SK 14 (упак 10 шт)</t>
  </si>
  <si>
    <t>упак</t>
  </si>
  <si>
    <t>Кабель контрольный КВВГЭнг(A)-LS 4х1,5</t>
  </si>
  <si>
    <t>Кабель контрольный КВВГЭнг(A)-LS 4х2,5</t>
  </si>
  <si>
    <t>Кабель контрольный КВВГЭнг(A)-LS 14х1,5</t>
  </si>
  <si>
    <t>1000 м</t>
  </si>
  <si>
    <t>Трубка ХВТ / для маркировки жил кабеля</t>
  </si>
  <si>
    <t>кг</t>
  </si>
  <si>
    <t>Бирки кабельные маркировочные пластмассовые У136</t>
  </si>
  <si>
    <t>100 шт</t>
  </si>
  <si>
    <t>Кабель КВПЭфнг(А)-5е 4х2х0,52</t>
  </si>
  <si>
    <t>Кабель КПпЭВм 1х2х0,64</t>
  </si>
  <si>
    <t>Рукава металлические из стальной оцинкованной ленты, негерметичные, простого профиля, РЗ-ЦХ, диаметр условный 20 мм</t>
  </si>
  <si>
    <t>Светильник светодиодный пристраиваемый PR-ARMTEL-30U-Д120-5000К-Ra80-IP66-AC/DC</t>
  </si>
  <si>
    <t>Светильник светодиодный пристраиваемый  PR-ARMTEL-20U-Д120-5000К-Ra80-IP66-AC/DC</t>
  </si>
  <si>
    <t>Выключатель двухполюсный для открытой установки 10 А, 220В, IP55, серии Plexo 0 697 17</t>
  </si>
  <si>
    <t>Переключатель двухполюсный на два направления для открытой установки, 10 А, 220В, IP66, серии Plexo 0 904 64</t>
  </si>
  <si>
    <t>Переключатель однополюсный на два направления для открытой установки, 10 А, 220В, IP66, серии Plexo 0 904 60</t>
  </si>
  <si>
    <t>Светильник эвакуационного освещения со встроенным аккумулятором на время работы в аварийном режиме 1 ч, 220 В, мощностью 3,6 Вт, IP65  URAN 6521-4 LED</t>
  </si>
  <si>
    <t>Промежуточный переключатель для открытой установки, 10 А. 220 В, IP55, серии Plexo 0 697 16</t>
  </si>
  <si>
    <t>Кабель силовой с медными жилами ВВГнг-LS 2х2,5-660 ВВГнг(A)-LS 2х2,5</t>
  </si>
  <si>
    <t>Кабель силовой с медными жилами ВВГнг(A)-LS 3х2,5-660</t>
  </si>
  <si>
    <t>Кабель силовой с медными жилами ВВГнг(A)-LS 3х4-660</t>
  </si>
  <si>
    <t>Кабель силовой с медными жилами ВВГнг(A)-LS 3х6-660</t>
  </si>
  <si>
    <t>Кабель силовой с медными жилами ВВГнг(A)-LS 3х10-660</t>
  </si>
  <si>
    <t>Кабель силовой с медными жилами ВВГнг(A)-LS 4х2,5-660</t>
  </si>
  <si>
    <t>Кабель силовой с медными жилами ВВГнг(A)-LS 4х6-660</t>
  </si>
  <si>
    <t>Кабель силовой с медными жилами ВВГнг(A)-LS 5х4-660</t>
  </si>
  <si>
    <t>Кабель силовой с медными жилами ВВГнг(A)-FRLS 2х2,5ок(N)-1000</t>
  </si>
  <si>
    <t>Кабель силовой с медными жилами ВВГнг(A)-FRLS 2х4ок(N)-1000</t>
  </si>
  <si>
    <t>Кабель силовой с медными жилами ВВГнг(A)-FRLS 2х6ок(N)-1000</t>
  </si>
  <si>
    <t>Кабель силовой с медными жилами ВВГнг(A)-FRLS 2х10ок(N)-1000</t>
  </si>
  <si>
    <t>Кабель силовой с медными жилами ВВГнг(A)-FRLS 3х2,5ок-1000</t>
  </si>
  <si>
    <t>Кабель силовой с медными жилами ВВГнг(A)-FRLS 4х2,5ок(N)-1000</t>
  </si>
  <si>
    <t>Кабель силовой с медными жилами ВВГнг(A)-FRLS 4х4ок(N)-1000</t>
  </si>
  <si>
    <t>Провод силовой установочный с медными жилами ПуГВ 1х2,5-450</t>
  </si>
  <si>
    <t>Муфта концевая кабельная термоусаживаемая с пластмассовой изоляцией с болтовыми наконечниками  на напряжение 1 кВ внутренней и наружной установки для 5-х жильных кабелей сечением 70/95/120 мм² 5ПКТп-1-70/120(Б)</t>
  </si>
  <si>
    <t>Муфта концевая кабельная термоусаживаемая с пластмассовой изоляцией с болтовыми 
наконечниками  на напряжение 1 кВ внутренней и наружной установки для 4-х жильных кабелей сечением 70/95/120 мм² 4ПКТп-1-70/120(Б)</t>
  </si>
  <si>
    <t>Кабель силовой c медными жилами с изоляцией и оболочкой из ПВХ-пластиката не распространяющей
горение, с низким дымо- и газовыделением, на напряжение 1 кВ ВВГнг(А)-LS 3х120</t>
  </si>
  <si>
    <t>Провод ПВ 6-3 1х16</t>
  </si>
  <si>
    <t>Кабель силовой c медными жилами с изоляцией и оболочкой из ПВХ-пластиката не распространяющей
горение, с низким дымо- и газовыделением, на напряжение 1 кВ ВВГнг(А)-LS 3х185</t>
  </si>
  <si>
    <t>Кабель силовой c медными жилами с изоляцией и оболочкой из ПВХ-пластиката не распространяющей
горение, с низким дымо- и газовыделением, на напряжение 1 кВ ВВГнг(А)-LS 3х240</t>
  </si>
  <si>
    <t>Держатель пластмассовый с защелкой для труб диаметром 32 мм / Держатель для трубы Ø29 мм</t>
  </si>
  <si>
    <t>Муфты концевые термоусаживаемые типа 3КВТП-1-150, внутренней установки для силовых кабелей на напряжение 1 кВ, без наконечников, сечение жил 70-120 мм2 / 3ПКТп-1-70/120(Б)</t>
  </si>
  <si>
    <t>компл</t>
  </si>
  <si>
    <t>Муфты концевые термоусаживаемые внутренней установки для силовых кабелей на напряжение 1 кВ, без наконечников, тип 3КВТП-1-240, сечение жил 150-240 мм2 / 3ПКТп-1-150/240(Б)</t>
  </si>
  <si>
    <t>Наконечники кабельные медные ТМ-16 / DT-16</t>
  </si>
  <si>
    <t>Трубы гибкие гофрированные из ПВХ, диаметр 32 мм / Индустриальная гофрированная труба (серия F0) Ø29 мм</t>
  </si>
  <si>
    <t>Трубы гибкие гофрированные из ПВХ, диаметр 50 мм  / Индустриальная гофрированная труба (серия F0) Ø 50 мм</t>
  </si>
  <si>
    <t>Кабель силовой с медными жилами ВВГнг-LS 4х95-660 / ВВГнг(А)-LS 4х95</t>
  </si>
  <si>
    <t>Кабель силовой с медными жилами ВВГнг(A)-LS 5х2,5-660</t>
  </si>
  <si>
    <t>Кабель силовой с медными жилами ВВГнг-LS 5х50-660/ ВВГнг(A)-LS 5х50</t>
  </si>
  <si>
    <t>Кабель силовой с медными жилами ВВГнг-LS 5х70-660/ ВВГнг(А)-LS 5х70</t>
  </si>
  <si>
    <t xml:space="preserve">Распределительное устройство РУСН 0,4кВ, согласно РД №6КС-ТЭЦ-6/20-ЗУУЭП04. ТЗ02-С (ДПМ) (ОС-14 Т0600001149 от 25.02.2022г.)        
</t>
  </si>
  <si>
    <t>Трансформатор трехфазный преобразовательный естественное воздушное при защищенном исполнении -1600/6/0,4-УХЛЗ (ОС-14 Т0600001149 от 25.02.2022г.)</t>
  </si>
  <si>
    <t>Щит распределения и управления E3BJA01 (Стоимость оборудования учтена ОС-14 Т0600004312 от 08.06.2022г.)</t>
  </si>
  <si>
    <t>Пост управления механизмом встряхивания (Стоимость оборудования учтена ОС-14 Т0600004312 от 08.06.2022г.)</t>
  </si>
  <si>
    <t>Коробка соединительная (Стоимость оборудования учтена ОС-14 Т0600004312 от 08.06.2022г.)</t>
  </si>
  <si>
    <t>ТЭН, 2 фазн., 0,3 кВт, 380 В (Стоимость оборудования учтена ОС-14 Т0600004312 от 08.06.2022г.)</t>
  </si>
  <si>
    <t>ТЭН, 2 фазн., 0,6 кВт, 380 В (Стоимость оборудования учтена ОС-14 Т0600004312 от 08.06.2022г.)</t>
  </si>
  <si>
    <t>Электровибратор бункера тип  MVE 500/3N, 3 фазн., 0,5 кВт, 380 В (вес 15,8кг) (Стоимость оборудования учтена ОС-14 Т0600004312 от 08.06.2022г.)</t>
  </si>
  <si>
    <t>Замок механической блокировки (Стоимость оборудования учтена ОС-14 Т0600004312 от 08.06.2022г.)</t>
  </si>
  <si>
    <t>Панель механической блокировки дверей (ШхВхГ) (Стоимость оборудования учтена ОС-14 Т0600004312 от 08.06.2022г.)</t>
  </si>
  <si>
    <t>Кабель контрольный КВВГЭнг(A)-LS 2х0,75 (Стоимость оборудования учтена ОС-14 Т0600004312 от 08.06.2022г.)</t>
  </si>
  <si>
    <t>Кабель контрольный КВВГЭнг(A)-LS 3х0,75 (Стоимость оборудования учтена ОС-14 Т0600004312 от 08.06.2022г.)</t>
  </si>
  <si>
    <t>Кабель контрольный КВВГЭнг(A)-LS 4х0,75 (Стоимость оборудования учтена ОС-14 Т0600004312 от 08.06.2022г.)</t>
  </si>
  <si>
    <t>Кабель контрольный КВВГЭнг(A)-LS 5х0,75 (Стоимость оборудования учтена ОС-14 Т0600004312 от 08.06.2022г.)</t>
  </si>
  <si>
    <t>Кабель контрольный КВВГЭнг(A)-LS 7х0,75 (Стоимость оборудования учтена ОС-14 Т0600004312 от 08.06.2022г.)</t>
  </si>
  <si>
    <t>Шкаф управления пневмотранспортом пыли E3HDA10GH001 (1600х600х400) (Стоимость оборудования учтена ОС-14 Т0600004312 от 08.06.2022г.)</t>
  </si>
  <si>
    <t>по объекту:  Выполнение строительно-монтажных работ по объекту филиала ТЭЦ-6: "Комплекс Работ в рамках программы ДПМ-2 на условиях «под ключ» по модернизации оборудования Иркутской ТЭЦ-6: замена ЦВД турбины (ПТ-60-130/13 ст.№1) с увеличением мощности до 65 МВт; замена топочных экранов, существующего золоулавливающего оборудования на новый электрофильтр котлоагрегата (БКЗ-320-140ПТ ст.№3)." «Котлоагрегат ст.№3. Инв. № ИЭ00004234. Техническое перевооружение с заменой электрофильтров». Электрическая часть, освещение».</t>
  </si>
  <si>
    <t>2</t>
  </si>
  <si>
    <t>4</t>
  </si>
  <si>
    <t>18</t>
  </si>
  <si>
    <t>5</t>
  </si>
  <si>
    <t>6</t>
  </si>
  <si>
    <t>3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</si>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</sst>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4" fillId="0" borderId="0"/>
    <xf numFmtId="164" fontId="5" fillId="0" borderId="0" applyFont="0" applyFill="0" applyBorder="0" applyAlignment="0" applyProtection="0"/>
    <xf numFmtId="0" fontId="6" fillId="0" borderId="1">
      <alignment horizontal="center"/>
    </xf>
    <xf numFmtId="0" fontId="4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4" fillId="0" borderId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 wrapText="1"/>
    </xf>
    <xf numFmtId="0" fontId="4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6" fillId="0" borderId="0"/>
  </cellStyleXfs>
  <cellXfs count="57">
    <xf numFmtId="0" fontId="0" fillId="0" borderId="0" xfId="0"/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wrapText="1" indent="2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49" fontId="10" fillId="0" borderId="0" xfId="0" applyNumberFormat="1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3" fillId="0" borderId="0" xfId="0" applyFont="1"/>
    <xf numFmtId="0" fontId="1" fillId="0" borderId="3" xfId="0" applyFont="1" applyFill="1" applyBorder="1" applyAlignment="1">
      <alignment horizontal="center" vertical="center" wrapText="1"/>
    </xf>
    <xf numFmtId="0" fontId="8" fillId="2" borderId="0" xfId="0" applyFont="1" applyFill="1"/>
    <xf numFmtId="49" fontId="1" fillId="0" borderId="0" xfId="0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0" fillId="0" borderId="0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165" fontId="0" fillId="0" borderId="0" xfId="0" applyNumberFormat="1" applyFill="1"/>
    <xf numFmtId="0" fontId="1" fillId="0" borderId="0" xfId="0" applyFont="1" applyFill="1"/>
    <xf numFmtId="0" fontId="1" fillId="0" borderId="0" xfId="0" applyFont="1" applyFill="1" applyBorder="1"/>
    <xf numFmtId="0" fontId="0" fillId="0" borderId="2" xfId="0" applyFill="1" applyBorder="1" applyAlignment="1">
      <alignment horizontal="center"/>
    </xf>
    <xf numFmtId="0" fontId="1" fillId="0" borderId="2" xfId="0" applyFont="1" applyFill="1" applyBorder="1"/>
    <xf numFmtId="0" fontId="3" fillId="0" borderId="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10" fillId="0" borderId="1" xfId="1" applyFont="1" applyFill="1" applyBorder="1" applyAlignment="1">
      <alignment horizontal="center" vertical="center" wrapText="1"/>
    </xf>
    <xf numFmtId="1" fontId="8" fillId="2" borderId="0" xfId="0" applyNumberFormat="1" applyFont="1" applyFill="1"/>
    <xf numFmtId="1" fontId="8" fillId="0" borderId="0" xfId="0" applyNumberFormat="1" applyFont="1" applyFill="1"/>
    <xf numFmtId="0" fontId="1" fillId="0" borderId="0" xfId="0" applyFont="1" applyFill="1" applyAlignment="1">
      <alignment vertical="top" wrapText="1"/>
    </xf>
    <xf numFmtId="0" fontId="10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Border="1"/>
    <xf numFmtId="49" fontId="10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165" fontId="11" fillId="0" borderId="1" xfId="2" applyNumberFormat="1" applyFont="1" applyFill="1" applyBorder="1" applyAlignment="1">
      <alignment vertical="center"/>
    </xf>
  </cellXfs>
  <cellStyles count="27">
    <cellStyle name="Акт" xfId="3"/>
    <cellStyle name="АктМТСН" xfId="4"/>
    <cellStyle name="ВедРесурсов" xfId="5"/>
    <cellStyle name="ВедРесурсовАкт" xfId="6"/>
    <cellStyle name="Индексы" xfId="7"/>
    <cellStyle name="Итоги" xfId="8"/>
    <cellStyle name="ИтогоАктБазЦ" xfId="9"/>
    <cellStyle name="ИтогоАктБИМ" xfId="10"/>
    <cellStyle name="ИтогоАктРесМет" xfId="11"/>
    <cellStyle name="ИтогоБазЦ" xfId="12"/>
    <cellStyle name="ИтогоБИМ" xfId="13"/>
    <cellStyle name="ИтогоРесМет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Обычный 2" xfId="1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Финансовый" xfId="2" builtinId="3"/>
    <cellStyle name="Хвост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10"/>
  <sheetViews>
    <sheetView tabSelected="1" view="pageBreakPreview" topLeftCell="A97" zoomScale="89" zoomScaleNormal="100" zoomScaleSheetLayoutView="89" workbookViewId="0">
      <selection activeCell="A10" sqref="A10:G10"/>
    </sheetView>
  </sheetViews>
  <sheetFormatPr defaultRowHeight="15" x14ac:dyDescent="0.25"/>
  <cols>
    <col min="1" max="1" width="5.28515625" style="32" customWidth="1"/>
    <col min="2" max="2" width="48.42578125" style="32" customWidth="1"/>
    <col min="3" max="3" width="7.85546875" style="54" customWidth="1"/>
    <col min="4" max="4" width="9.5703125" style="32" customWidth="1"/>
    <col min="5" max="5" width="10.7109375" style="54" customWidth="1"/>
    <col min="6" max="6" width="12.42578125" style="32" customWidth="1"/>
    <col min="7" max="7" width="13.5703125" style="32" bestFit="1" customWidth="1"/>
  </cols>
  <sheetData>
    <row r="1" spans="1:8" s="6" customFormat="1" ht="15.75" x14ac:dyDescent="0.25">
      <c r="A1" s="47"/>
      <c r="B1" s="47"/>
      <c r="C1" s="47"/>
      <c r="D1" s="47"/>
      <c r="E1" s="47"/>
      <c r="G1" s="5"/>
    </row>
    <row r="2" spans="1:8" s="6" customFormat="1" ht="15.75" x14ac:dyDescent="0.25">
      <c r="A2" s="48"/>
      <c r="B2" s="49"/>
      <c r="D2" s="8" t="s">
        <v>15</v>
      </c>
    </row>
    <row r="3" spans="1:8" s="6" customFormat="1" ht="15.6" customHeight="1" x14ac:dyDescent="0.25">
      <c r="A3" s="45"/>
      <c r="B3" s="45"/>
      <c r="D3" s="45" t="s">
        <v>16</v>
      </c>
      <c r="E3" s="45"/>
      <c r="F3" s="45"/>
      <c r="G3" s="45"/>
    </row>
    <row r="4" spans="1:8" s="6" customFormat="1" ht="17.25" customHeight="1" x14ac:dyDescent="0.25">
      <c r="A4" s="45"/>
      <c r="B4" s="45"/>
      <c r="D4" s="7" t="s">
        <v>17</v>
      </c>
    </row>
    <row r="5" spans="1:8" s="6" customFormat="1" ht="34.5" customHeight="1" x14ac:dyDescent="0.25">
      <c r="A5" s="8"/>
      <c r="B5" s="9"/>
      <c r="D5" s="8" t="s">
        <v>18</v>
      </c>
    </row>
    <row r="6" spans="1:8" s="6" customFormat="1" ht="18.75" customHeight="1" x14ac:dyDescent="0.25">
      <c r="A6" s="8"/>
      <c r="B6" s="50"/>
      <c r="D6" s="8" t="s">
        <v>19</v>
      </c>
    </row>
    <row r="7" spans="1:8" s="6" customFormat="1" ht="12.75" customHeight="1" x14ac:dyDescent="0.25">
      <c r="A7" s="8"/>
      <c r="B7" s="50"/>
      <c r="C7" s="8"/>
    </row>
    <row r="8" spans="1:8" ht="15" customHeight="1" x14ac:dyDescent="0.25">
      <c r="A8" s="51" t="s">
        <v>0</v>
      </c>
      <c r="B8" s="51"/>
      <c r="C8" s="51"/>
      <c r="D8" s="51"/>
      <c r="E8" s="51"/>
      <c r="F8" s="52"/>
      <c r="G8" s="52"/>
    </row>
    <row r="9" spans="1:8" ht="15" customHeight="1" x14ac:dyDescent="0.25">
      <c r="A9" s="51" t="s">
        <v>5</v>
      </c>
      <c r="B9" s="51"/>
      <c r="C9" s="51"/>
      <c r="D9" s="51"/>
      <c r="E9" s="51"/>
      <c r="F9" s="52"/>
      <c r="G9" s="52"/>
    </row>
    <row r="10" spans="1:8" ht="95.25" customHeight="1" x14ac:dyDescent="0.25">
      <c r="A10" s="51" t="s">
        <v>113</v>
      </c>
      <c r="B10" s="51"/>
      <c r="C10" s="51"/>
      <c r="D10" s="51"/>
      <c r="E10" s="51"/>
      <c r="F10" s="53"/>
      <c r="G10" s="53"/>
    </row>
    <row r="11" spans="1:8" ht="10.5" customHeight="1" x14ac:dyDescent="0.25"/>
    <row r="12" spans="1:8" ht="44.25" customHeight="1" x14ac:dyDescent="0.25">
      <c r="A12" s="10" t="s">
        <v>1</v>
      </c>
      <c r="B12" s="10" t="s">
        <v>2</v>
      </c>
      <c r="C12" s="10" t="s">
        <v>3</v>
      </c>
      <c r="D12" s="10" t="s">
        <v>14</v>
      </c>
      <c r="E12" s="10" t="s">
        <v>4</v>
      </c>
      <c r="F12" s="10" t="s">
        <v>8</v>
      </c>
      <c r="G12" s="10" t="s">
        <v>9</v>
      </c>
      <c r="H12" s="13"/>
    </row>
    <row r="13" spans="1:8" s="1" customFormat="1" ht="15.75" x14ac:dyDescent="0.25">
      <c r="A13" s="55" t="s">
        <v>12</v>
      </c>
      <c r="B13" s="55"/>
      <c r="C13" s="55"/>
      <c r="D13" s="55"/>
      <c r="E13" s="55"/>
      <c r="F13" s="55"/>
      <c r="G13" s="55"/>
    </row>
    <row r="14" spans="1:8" s="21" customFormat="1" ht="31.5" x14ac:dyDescent="0.25">
      <c r="A14" s="2" t="s">
        <v>7</v>
      </c>
      <c r="B14" s="16" t="s">
        <v>23</v>
      </c>
      <c r="C14" s="17" t="s">
        <v>22</v>
      </c>
      <c r="D14" s="18"/>
      <c r="E14" s="17">
        <v>4</v>
      </c>
      <c r="F14" s="19">
        <f>282.14*1.0218</f>
        <v>288.29065200000002</v>
      </c>
      <c r="G14" s="20">
        <f t="shared" ref="G14:G77" si="0">E14*F14</f>
        <v>1153.1626080000001</v>
      </c>
    </row>
    <row r="15" spans="1:8" s="21" customFormat="1" ht="31.5" x14ac:dyDescent="0.25">
      <c r="A15" s="2" t="s">
        <v>114</v>
      </c>
      <c r="B15" s="16" t="s">
        <v>24</v>
      </c>
      <c r="C15" s="17" t="s">
        <v>22</v>
      </c>
      <c r="D15" s="18"/>
      <c r="E15" s="17">
        <v>2</v>
      </c>
      <c r="F15" s="19">
        <f>1857.98*1.0218</f>
        <v>1898.483964</v>
      </c>
      <c r="G15" s="20">
        <f t="shared" si="0"/>
        <v>3796.967928</v>
      </c>
    </row>
    <row r="16" spans="1:8" s="21" customFormat="1" ht="47.25" x14ac:dyDescent="0.25">
      <c r="A16" s="2" t="s">
        <v>119</v>
      </c>
      <c r="B16" s="16" t="s">
        <v>25</v>
      </c>
      <c r="C16" s="17" t="s">
        <v>22</v>
      </c>
      <c r="D16" s="18"/>
      <c r="E16" s="17">
        <v>1</v>
      </c>
      <c r="F16" s="19">
        <f>7207.46*1.0218</f>
        <v>7364.5826280000001</v>
      </c>
      <c r="G16" s="20">
        <f t="shared" si="0"/>
        <v>7364.5826280000001</v>
      </c>
    </row>
    <row r="17" spans="1:8" s="21" customFormat="1" ht="47.25" x14ac:dyDescent="0.25">
      <c r="A17" s="2" t="s">
        <v>115</v>
      </c>
      <c r="B17" s="16" t="s">
        <v>26</v>
      </c>
      <c r="C17" s="17" t="s">
        <v>22</v>
      </c>
      <c r="D17" s="18"/>
      <c r="E17" s="17">
        <v>4</v>
      </c>
      <c r="F17" s="19">
        <f>215.39*1.0218</f>
        <v>220.08550199999999</v>
      </c>
      <c r="G17" s="20">
        <f t="shared" si="0"/>
        <v>880.34200799999996</v>
      </c>
    </row>
    <row r="18" spans="1:8" s="21" customFormat="1" ht="15.75" x14ac:dyDescent="0.25">
      <c r="A18" s="2" t="s">
        <v>117</v>
      </c>
      <c r="B18" s="16" t="s">
        <v>27</v>
      </c>
      <c r="C18" s="17" t="s">
        <v>22</v>
      </c>
      <c r="D18" s="18"/>
      <c r="E18" s="17">
        <v>2</v>
      </c>
      <c r="F18" s="19">
        <f>27.61*1.0218</f>
        <v>28.211898000000001</v>
      </c>
      <c r="G18" s="20">
        <f t="shared" si="0"/>
        <v>56.423796000000003</v>
      </c>
      <c r="H18" s="43">
        <f>G14+G15+G16+G17+G18</f>
        <v>13251.478967999999</v>
      </c>
    </row>
    <row r="19" spans="1:8" s="21" customFormat="1" ht="31.5" x14ac:dyDescent="0.25">
      <c r="A19" s="2" t="s">
        <v>118</v>
      </c>
      <c r="B19" s="16" t="s">
        <v>29</v>
      </c>
      <c r="C19" s="17" t="s">
        <v>22</v>
      </c>
      <c r="D19" s="18"/>
      <c r="E19" s="17">
        <v>2</v>
      </c>
      <c r="F19" s="19">
        <f>2287.41*1.0218</f>
        <v>2337.2755379999999</v>
      </c>
      <c r="G19" s="20">
        <f t="shared" si="0"/>
        <v>4674.5510759999997</v>
      </c>
      <c r="H19" s="43">
        <f>G19</f>
        <v>4674.5510759999997</v>
      </c>
    </row>
    <row r="20" spans="1:8" s="21" customFormat="1" ht="31.5" x14ac:dyDescent="0.25">
      <c r="A20" s="2" t="s">
        <v>120</v>
      </c>
      <c r="B20" s="16" t="s">
        <v>30</v>
      </c>
      <c r="C20" s="17" t="s">
        <v>22</v>
      </c>
      <c r="D20" s="18"/>
      <c r="E20" s="17">
        <v>18</v>
      </c>
      <c r="F20" s="19">
        <f>94.44*1.0218</f>
        <v>96.498791999999995</v>
      </c>
      <c r="G20" s="20">
        <v>1737</v>
      </c>
    </row>
    <row r="21" spans="1:8" s="21" customFormat="1" ht="31.5" x14ac:dyDescent="0.25">
      <c r="A21" s="2" t="s">
        <v>121</v>
      </c>
      <c r="B21" s="16" t="s">
        <v>31</v>
      </c>
      <c r="C21" s="17" t="s">
        <v>22</v>
      </c>
      <c r="D21" s="18"/>
      <c r="E21" s="17">
        <v>5</v>
      </c>
      <c r="F21" s="19">
        <f>857.59*1.0218</f>
        <v>876.28546200000005</v>
      </c>
      <c r="G21" s="20">
        <v>4381</v>
      </c>
    </row>
    <row r="22" spans="1:8" s="21" customFormat="1" ht="15.75" x14ac:dyDescent="0.25">
      <c r="A22" s="2" t="s">
        <v>122</v>
      </c>
      <c r="B22" s="16" t="s">
        <v>32</v>
      </c>
      <c r="C22" s="17" t="s">
        <v>22</v>
      </c>
      <c r="D22" s="18"/>
      <c r="E22" s="17">
        <v>6</v>
      </c>
      <c r="F22" s="19">
        <f>4931.02/100*1.0218</f>
        <v>50.385162360000002</v>
      </c>
      <c r="G22" s="20">
        <f t="shared" si="0"/>
        <v>302.31097416</v>
      </c>
      <c r="H22" s="43">
        <f>G20+G21+G22</f>
        <v>6420.3109741600001</v>
      </c>
    </row>
    <row r="23" spans="1:8" s="21" customFormat="1" ht="31.5" x14ac:dyDescent="0.25">
      <c r="A23" s="2" t="s">
        <v>123</v>
      </c>
      <c r="B23" s="16" t="s">
        <v>35</v>
      </c>
      <c r="C23" s="17" t="s">
        <v>36</v>
      </c>
      <c r="D23" s="18"/>
      <c r="E23" s="17">
        <v>61.2</v>
      </c>
      <c r="F23" s="19">
        <f>151.27*1.0218</f>
        <v>154.56768600000001</v>
      </c>
      <c r="G23" s="20">
        <f t="shared" si="0"/>
        <v>9459.5423832000015</v>
      </c>
      <c r="H23" s="43"/>
    </row>
    <row r="24" spans="1:8" s="21" customFormat="1" ht="31.5" x14ac:dyDescent="0.25">
      <c r="A24" s="2" t="s">
        <v>124</v>
      </c>
      <c r="B24" s="16" t="s">
        <v>37</v>
      </c>
      <c r="C24" s="17" t="s">
        <v>33</v>
      </c>
      <c r="D24" s="18"/>
      <c r="E24" s="17">
        <v>1.2</v>
      </c>
      <c r="F24" s="19">
        <f>3060.54*1.0218</f>
        <v>3127.2597719999999</v>
      </c>
      <c r="G24" s="20">
        <f t="shared" si="0"/>
        <v>3752.7117263999999</v>
      </c>
      <c r="H24" s="43"/>
    </row>
    <row r="25" spans="1:8" s="21" customFormat="1" ht="31.5" x14ac:dyDescent="0.25">
      <c r="A25" s="2" t="s">
        <v>125</v>
      </c>
      <c r="B25" s="16" t="s">
        <v>38</v>
      </c>
      <c r="C25" s="17" t="s">
        <v>33</v>
      </c>
      <c r="D25" s="18"/>
      <c r="E25" s="17">
        <v>0.06</v>
      </c>
      <c r="F25" s="19">
        <f>6325.29*1.0218</f>
        <v>6463.1813220000004</v>
      </c>
      <c r="G25" s="20">
        <f t="shared" si="0"/>
        <v>387.79087931999999</v>
      </c>
      <c r="H25" s="43"/>
    </row>
    <row r="26" spans="1:8" s="21" customFormat="1" ht="31.5" x14ac:dyDescent="0.25">
      <c r="A26" s="2" t="s">
        <v>126</v>
      </c>
      <c r="B26" s="16" t="s">
        <v>39</v>
      </c>
      <c r="C26" s="17" t="s">
        <v>40</v>
      </c>
      <c r="D26" s="18"/>
      <c r="E26" s="17">
        <v>3.0599999999999999E-2</v>
      </c>
      <c r="F26" s="19">
        <f>398028.74*1.0218</f>
        <v>406705.76653199998</v>
      </c>
      <c r="G26" s="20">
        <f t="shared" si="0"/>
        <v>12445.196455879199</v>
      </c>
      <c r="H26" s="43">
        <f>G23+G24+G25+G26</f>
        <v>26045.241444799201</v>
      </c>
    </row>
    <row r="27" spans="1:8" s="21" customFormat="1" ht="31.5" x14ac:dyDescent="0.25">
      <c r="A27" s="2" t="s">
        <v>127</v>
      </c>
      <c r="B27" s="16" t="s">
        <v>35</v>
      </c>
      <c r="C27" s="17" t="s">
        <v>36</v>
      </c>
      <c r="D27" s="18"/>
      <c r="E27" s="17">
        <v>12.24</v>
      </c>
      <c r="F27" s="19">
        <f>151.27*1.0218</f>
        <v>154.56768600000001</v>
      </c>
      <c r="G27" s="20">
        <f t="shared" si="0"/>
        <v>1891.9084766400001</v>
      </c>
      <c r="H27" s="43"/>
    </row>
    <row r="28" spans="1:8" s="21" customFormat="1" ht="31.5" x14ac:dyDescent="0.25">
      <c r="A28" s="2" t="s">
        <v>128</v>
      </c>
      <c r="B28" s="16" t="s">
        <v>41</v>
      </c>
      <c r="C28" s="17" t="s">
        <v>22</v>
      </c>
      <c r="D28" s="18"/>
      <c r="E28" s="17">
        <v>6</v>
      </c>
      <c r="F28" s="19">
        <f>1266.77*1.0218</f>
        <v>1294.3855860000001</v>
      </c>
      <c r="G28" s="20">
        <f t="shared" si="0"/>
        <v>7766.3135160000002</v>
      </c>
      <c r="H28" s="43">
        <f>G27+G28</f>
        <v>9658.2219926399994</v>
      </c>
    </row>
    <row r="29" spans="1:8" s="21" customFormat="1" ht="15.75" x14ac:dyDescent="0.25">
      <c r="A29" s="2" t="s">
        <v>129</v>
      </c>
      <c r="B29" s="16" t="s">
        <v>43</v>
      </c>
      <c r="C29" s="17" t="s">
        <v>22</v>
      </c>
      <c r="D29" s="18"/>
      <c r="E29" s="17">
        <v>1</v>
      </c>
      <c r="F29" s="19">
        <f>1042.74*1.0218</f>
        <v>1065.471732</v>
      </c>
      <c r="G29" s="20">
        <f t="shared" si="0"/>
        <v>1065.471732</v>
      </c>
      <c r="H29" s="43"/>
    </row>
    <row r="30" spans="1:8" s="21" customFormat="1" ht="15.75" x14ac:dyDescent="0.25">
      <c r="A30" s="2" t="s">
        <v>130</v>
      </c>
      <c r="B30" s="16" t="s">
        <v>44</v>
      </c>
      <c r="C30" s="17" t="s">
        <v>45</v>
      </c>
      <c r="D30" s="18"/>
      <c r="E30" s="17">
        <v>1</v>
      </c>
      <c r="F30" s="19">
        <f>832.09*1.0218</f>
        <v>850.2295620000001</v>
      </c>
      <c r="G30" s="20">
        <f t="shared" si="0"/>
        <v>850.2295620000001</v>
      </c>
      <c r="H30" s="43"/>
    </row>
    <row r="31" spans="1:8" s="21" customFormat="1" ht="15.75" x14ac:dyDescent="0.25">
      <c r="A31" s="2" t="s">
        <v>116</v>
      </c>
      <c r="B31" s="16" t="s">
        <v>46</v>
      </c>
      <c r="C31" s="17" t="s">
        <v>40</v>
      </c>
      <c r="D31" s="18"/>
      <c r="E31" s="17">
        <v>1.0200000000000001E-2</v>
      </c>
      <c r="F31" s="19">
        <f>94371.51*1.0218</f>
        <v>96428.808917999995</v>
      </c>
      <c r="G31" s="20">
        <f t="shared" si="0"/>
        <v>983.57385096359997</v>
      </c>
      <c r="H31" s="43"/>
    </row>
    <row r="32" spans="1:8" s="21" customFormat="1" ht="15.75" x14ac:dyDescent="0.25">
      <c r="A32" s="2" t="s">
        <v>131</v>
      </c>
      <c r="B32" s="16" t="s">
        <v>47</v>
      </c>
      <c r="C32" s="17" t="s">
        <v>40</v>
      </c>
      <c r="D32" s="18"/>
      <c r="E32" s="17">
        <v>2.0400000000000001E-2</v>
      </c>
      <c r="F32" s="19">
        <f>109675.88*1.0218</f>
        <v>112066.814184</v>
      </c>
      <c r="G32" s="20">
        <f t="shared" si="0"/>
        <v>2286.1630093536</v>
      </c>
      <c r="H32" s="43"/>
    </row>
    <row r="33" spans="1:8" s="21" customFormat="1" ht="15.75" x14ac:dyDescent="0.25">
      <c r="A33" s="2" t="s">
        <v>132</v>
      </c>
      <c r="B33" s="16" t="s">
        <v>48</v>
      </c>
      <c r="C33" s="17" t="s">
        <v>49</v>
      </c>
      <c r="D33" s="18"/>
      <c r="E33" s="17">
        <v>0.24479999999999999</v>
      </c>
      <c r="F33" s="19">
        <f>331572.6*1.0218</f>
        <v>338800.88267999998</v>
      </c>
      <c r="G33" s="20">
        <f t="shared" si="0"/>
        <v>82938.456080063988</v>
      </c>
      <c r="H33" s="43"/>
    </row>
    <row r="34" spans="1:8" s="21" customFormat="1" ht="15.75" x14ac:dyDescent="0.25">
      <c r="A34" s="2" t="s">
        <v>133</v>
      </c>
      <c r="B34" s="16" t="s">
        <v>50</v>
      </c>
      <c r="C34" s="17" t="s">
        <v>51</v>
      </c>
      <c r="D34" s="18"/>
      <c r="E34" s="17">
        <v>0.58799999999999997</v>
      </c>
      <c r="F34" s="19">
        <f>288.85*1.0218</f>
        <v>295.14693000000005</v>
      </c>
      <c r="G34" s="20">
        <f t="shared" si="0"/>
        <v>173.54639484000003</v>
      </c>
      <c r="H34" s="43"/>
    </row>
    <row r="35" spans="1:8" s="21" customFormat="1" ht="31.5" x14ac:dyDescent="0.25">
      <c r="A35" s="2" t="s">
        <v>134</v>
      </c>
      <c r="B35" s="16" t="s">
        <v>52</v>
      </c>
      <c r="C35" s="17" t="s">
        <v>53</v>
      </c>
      <c r="D35" s="18"/>
      <c r="E35" s="17">
        <v>0.06</v>
      </c>
      <c r="F35" s="19">
        <f>183.87*1.0218</f>
        <v>187.878366</v>
      </c>
      <c r="G35" s="20">
        <f t="shared" si="0"/>
        <v>11.272701959999999</v>
      </c>
      <c r="H35" s="43">
        <f>G29+G30+G31+G32+G33+G34+G35</f>
        <v>88308.713331181192</v>
      </c>
    </row>
    <row r="36" spans="1:8" s="21" customFormat="1" ht="15.75" x14ac:dyDescent="0.25">
      <c r="A36" s="2" t="s">
        <v>135</v>
      </c>
      <c r="B36" s="16" t="s">
        <v>54</v>
      </c>
      <c r="C36" s="17" t="s">
        <v>36</v>
      </c>
      <c r="D36" s="18"/>
      <c r="E36" s="17">
        <v>360</v>
      </c>
      <c r="F36" s="19">
        <f>97.91*1.0218</f>
        <v>100.044438</v>
      </c>
      <c r="G36" s="20">
        <f t="shared" si="0"/>
        <v>36015.99768</v>
      </c>
      <c r="H36" s="43"/>
    </row>
    <row r="37" spans="1:8" s="21" customFormat="1" ht="15.75" x14ac:dyDescent="0.25">
      <c r="A37" s="2" t="s">
        <v>136</v>
      </c>
      <c r="B37" s="16" t="s">
        <v>55</v>
      </c>
      <c r="C37" s="17" t="s">
        <v>36</v>
      </c>
      <c r="D37" s="18"/>
      <c r="E37" s="17">
        <v>360</v>
      </c>
      <c r="F37" s="19">
        <f>108.33*1.0218</f>
        <v>110.69159400000001</v>
      </c>
      <c r="G37" s="20">
        <f t="shared" si="0"/>
        <v>39848.973840000006</v>
      </c>
      <c r="H37" s="43"/>
    </row>
    <row r="38" spans="1:8" s="21" customFormat="1" ht="51" customHeight="1" x14ac:dyDescent="0.25">
      <c r="A38" s="2" t="s">
        <v>137</v>
      </c>
      <c r="B38" s="16" t="s">
        <v>56</v>
      </c>
      <c r="C38" s="17" t="s">
        <v>36</v>
      </c>
      <c r="D38" s="18"/>
      <c r="E38" s="17">
        <v>108</v>
      </c>
      <c r="F38" s="19">
        <f>73.19*1.0218</f>
        <v>74.785542000000007</v>
      </c>
      <c r="G38" s="20">
        <f t="shared" si="0"/>
        <v>8076.8385360000011</v>
      </c>
      <c r="H38" s="43"/>
    </row>
    <row r="39" spans="1:8" s="21" customFormat="1" ht="15.75" x14ac:dyDescent="0.25">
      <c r="A39" s="2" t="s">
        <v>138</v>
      </c>
      <c r="B39" s="16" t="s">
        <v>46</v>
      </c>
      <c r="C39" s="17" t="s">
        <v>40</v>
      </c>
      <c r="D39" s="18"/>
      <c r="E39" s="17">
        <v>0.78</v>
      </c>
      <c r="F39" s="19">
        <f>94371.51*1.0218</f>
        <v>96428.808917999995</v>
      </c>
      <c r="G39" s="20">
        <f t="shared" si="0"/>
        <v>75214.470956039993</v>
      </c>
      <c r="H39" s="43">
        <f>G36+G37+G38+G39</f>
        <v>159156.28101203998</v>
      </c>
    </row>
    <row r="40" spans="1:8" s="21" customFormat="1" ht="63" x14ac:dyDescent="0.25">
      <c r="A40" s="2" t="s">
        <v>139</v>
      </c>
      <c r="B40" s="16" t="s">
        <v>56</v>
      </c>
      <c r="C40" s="17" t="s">
        <v>36</v>
      </c>
      <c r="D40" s="18"/>
      <c r="E40" s="17">
        <v>122.57</v>
      </c>
      <c r="F40" s="19">
        <f>73.19*1.0218</f>
        <v>74.785542000000007</v>
      </c>
      <c r="G40" s="20">
        <f t="shared" si="0"/>
        <v>9166.463882940001</v>
      </c>
      <c r="H40" s="43"/>
    </row>
    <row r="41" spans="1:8" s="14" customFormat="1" ht="31.5" x14ac:dyDescent="0.25">
      <c r="A41" s="2" t="s">
        <v>140</v>
      </c>
      <c r="B41" s="16" t="s">
        <v>23</v>
      </c>
      <c r="C41" s="17" t="s">
        <v>22</v>
      </c>
      <c r="D41" s="18"/>
      <c r="E41" s="17">
        <v>5</v>
      </c>
      <c r="F41" s="19">
        <f>282.14*1.0218</f>
        <v>288.29065200000002</v>
      </c>
      <c r="G41" s="20">
        <f t="shared" si="0"/>
        <v>1441.4532600000002</v>
      </c>
      <c r="H41" s="42"/>
    </row>
    <row r="42" spans="1:8" s="14" customFormat="1" ht="31.5" x14ac:dyDescent="0.25">
      <c r="A42" s="2" t="s">
        <v>141</v>
      </c>
      <c r="B42" s="16" t="s">
        <v>24</v>
      </c>
      <c r="C42" s="17" t="s">
        <v>22</v>
      </c>
      <c r="D42" s="18"/>
      <c r="E42" s="17">
        <v>6</v>
      </c>
      <c r="F42" s="19">
        <f>1857.98*1.0218</f>
        <v>1898.483964</v>
      </c>
      <c r="G42" s="20">
        <f t="shared" si="0"/>
        <v>11390.903784</v>
      </c>
      <c r="H42" s="42"/>
    </row>
    <row r="43" spans="1:8" s="14" customFormat="1" ht="47.25" x14ac:dyDescent="0.25">
      <c r="A43" s="2" t="s">
        <v>142</v>
      </c>
      <c r="B43" s="16" t="s">
        <v>57</v>
      </c>
      <c r="C43" s="17" t="s">
        <v>22</v>
      </c>
      <c r="D43" s="18"/>
      <c r="E43" s="17">
        <v>30</v>
      </c>
      <c r="F43" s="19">
        <f>4977.82*1.0218</f>
        <v>5086.3364759999995</v>
      </c>
      <c r="G43" s="20">
        <f t="shared" si="0"/>
        <v>152590.09427999999</v>
      </c>
      <c r="H43" s="42"/>
    </row>
    <row r="44" spans="1:8" s="14" customFormat="1" ht="47.25" x14ac:dyDescent="0.25">
      <c r="A44" s="2" t="s">
        <v>143</v>
      </c>
      <c r="B44" s="16" t="s">
        <v>26</v>
      </c>
      <c r="C44" s="17" t="s">
        <v>22</v>
      </c>
      <c r="D44" s="18"/>
      <c r="E44" s="17">
        <v>11</v>
      </c>
      <c r="F44" s="19">
        <f>215.39*1.0218</f>
        <v>220.08550199999999</v>
      </c>
      <c r="G44" s="20">
        <f t="shared" si="0"/>
        <v>2420.9405219999999</v>
      </c>
      <c r="H44" s="42"/>
    </row>
    <row r="45" spans="1:8" s="14" customFormat="1" ht="15.75" x14ac:dyDescent="0.25">
      <c r="A45" s="2" t="s">
        <v>144</v>
      </c>
      <c r="B45" s="16" t="s">
        <v>27</v>
      </c>
      <c r="C45" s="17" t="s">
        <v>22</v>
      </c>
      <c r="D45" s="18"/>
      <c r="E45" s="17">
        <v>6</v>
      </c>
      <c r="F45" s="19">
        <f>27.61*1.0218</f>
        <v>28.211898000000001</v>
      </c>
      <c r="G45" s="20">
        <f t="shared" si="0"/>
        <v>169.271388</v>
      </c>
      <c r="H45" s="42"/>
    </row>
    <row r="46" spans="1:8" s="14" customFormat="1" ht="47.25" x14ac:dyDescent="0.25">
      <c r="A46" s="2" t="s">
        <v>145</v>
      </c>
      <c r="B46" s="16" t="s">
        <v>58</v>
      </c>
      <c r="C46" s="17" t="s">
        <v>22</v>
      </c>
      <c r="D46" s="18"/>
      <c r="E46" s="17">
        <v>28</v>
      </c>
      <c r="F46" s="19">
        <f>4278.87*1.0218</f>
        <v>4372.1493659999996</v>
      </c>
      <c r="G46" s="20">
        <f t="shared" si="0"/>
        <v>122420.182248</v>
      </c>
      <c r="H46" s="42"/>
    </row>
    <row r="47" spans="1:8" s="14" customFormat="1" ht="47.25" x14ac:dyDescent="0.25">
      <c r="A47" s="2" t="s">
        <v>146</v>
      </c>
      <c r="B47" s="16" t="s">
        <v>59</v>
      </c>
      <c r="C47" s="17" t="s">
        <v>22</v>
      </c>
      <c r="D47" s="18"/>
      <c r="E47" s="17">
        <v>2</v>
      </c>
      <c r="F47" s="19">
        <f>2785.87*1.0218</f>
        <v>2846.6019660000002</v>
      </c>
      <c r="G47" s="20">
        <f t="shared" si="0"/>
        <v>5693.2039320000003</v>
      </c>
      <c r="H47" s="42"/>
    </row>
    <row r="48" spans="1:8" s="14" customFormat="1" ht="47.25" x14ac:dyDescent="0.25">
      <c r="A48" s="2" t="s">
        <v>147</v>
      </c>
      <c r="B48" s="16" t="s">
        <v>60</v>
      </c>
      <c r="C48" s="17" t="s">
        <v>22</v>
      </c>
      <c r="D48" s="18"/>
      <c r="E48" s="17">
        <v>10</v>
      </c>
      <c r="F48" s="19">
        <f>5240.47*1.0218</f>
        <v>5354.7122460000001</v>
      </c>
      <c r="G48" s="20">
        <f t="shared" si="0"/>
        <v>53547.122459999999</v>
      </c>
      <c r="H48" s="42"/>
    </row>
    <row r="49" spans="1:8" s="14" customFormat="1" ht="47.25" x14ac:dyDescent="0.25">
      <c r="A49" s="2" t="s">
        <v>148</v>
      </c>
      <c r="B49" s="16" t="s">
        <v>61</v>
      </c>
      <c r="C49" s="17" t="s">
        <v>22</v>
      </c>
      <c r="D49" s="18"/>
      <c r="E49" s="17">
        <v>6</v>
      </c>
      <c r="F49" s="19">
        <f>3976.24*1.0218</f>
        <v>4062.9220319999999</v>
      </c>
      <c r="G49" s="20">
        <f t="shared" si="0"/>
        <v>24377.532191999999</v>
      </c>
      <c r="H49" s="42"/>
    </row>
    <row r="50" spans="1:8" s="14" customFormat="1" ht="47.25" x14ac:dyDescent="0.25">
      <c r="A50" s="2" t="s">
        <v>149</v>
      </c>
      <c r="B50" s="16" t="s">
        <v>25</v>
      </c>
      <c r="C50" s="17" t="s">
        <v>22</v>
      </c>
      <c r="D50" s="18"/>
      <c r="E50" s="17">
        <v>1</v>
      </c>
      <c r="F50" s="19">
        <f>7207.46*1.0218</f>
        <v>7364.5826280000001</v>
      </c>
      <c r="G50" s="20">
        <f t="shared" si="0"/>
        <v>7364.5826280000001</v>
      </c>
      <c r="H50" s="42"/>
    </row>
    <row r="51" spans="1:8" s="14" customFormat="1" ht="63" x14ac:dyDescent="0.25">
      <c r="A51" s="2" t="s">
        <v>150</v>
      </c>
      <c r="B51" s="16" t="s">
        <v>62</v>
      </c>
      <c r="C51" s="17" t="s">
        <v>22</v>
      </c>
      <c r="D51" s="18"/>
      <c r="E51" s="17">
        <v>2</v>
      </c>
      <c r="F51" s="19">
        <f>6015.9*1.0218</f>
        <v>6147.0466200000001</v>
      </c>
      <c r="G51" s="20">
        <f t="shared" si="0"/>
        <v>12294.09324</v>
      </c>
      <c r="H51" s="42"/>
    </row>
    <row r="52" spans="1:8" s="14" customFormat="1" ht="47.25" x14ac:dyDescent="0.25">
      <c r="A52" s="2" t="s">
        <v>151</v>
      </c>
      <c r="B52" s="16" t="s">
        <v>63</v>
      </c>
      <c r="C52" s="17" t="s">
        <v>22</v>
      </c>
      <c r="D52" s="18"/>
      <c r="E52" s="17">
        <v>1</v>
      </c>
      <c r="F52" s="19">
        <f>1906.17*1.0218</f>
        <v>1947.7245060000002</v>
      </c>
      <c r="G52" s="20">
        <f t="shared" si="0"/>
        <v>1947.7245060000002</v>
      </c>
      <c r="H52" s="42"/>
    </row>
    <row r="53" spans="1:8" s="14" customFormat="1" ht="31.5" x14ac:dyDescent="0.25">
      <c r="A53" s="2" t="s">
        <v>152</v>
      </c>
      <c r="B53" s="16" t="s">
        <v>64</v>
      </c>
      <c r="C53" s="17" t="s">
        <v>40</v>
      </c>
      <c r="D53" s="18"/>
      <c r="E53" s="17">
        <v>2.4479999999999998E-2</v>
      </c>
      <c r="F53" s="19">
        <f>60406.58*1.0218</f>
        <v>61723.443444000004</v>
      </c>
      <c r="G53" s="20">
        <f t="shared" si="0"/>
        <v>1510.9898955091201</v>
      </c>
      <c r="H53" s="42"/>
    </row>
    <row r="54" spans="1:8" s="14" customFormat="1" ht="31.5" x14ac:dyDescent="0.25">
      <c r="A54" s="2" t="s">
        <v>153</v>
      </c>
      <c r="B54" s="16" t="s">
        <v>65</v>
      </c>
      <c r="C54" s="17" t="s">
        <v>40</v>
      </c>
      <c r="D54" s="18"/>
      <c r="E54" s="17">
        <v>3.6720000000000003E-2</v>
      </c>
      <c r="F54" s="19">
        <f>75714.35*1.0218</f>
        <v>77364.92283000001</v>
      </c>
      <c r="G54" s="20">
        <f t="shared" si="0"/>
        <v>2840.8399663176006</v>
      </c>
      <c r="H54" s="42"/>
    </row>
    <row r="55" spans="1:8" s="14" customFormat="1" ht="31.5" x14ac:dyDescent="0.25">
      <c r="A55" s="2" t="s">
        <v>154</v>
      </c>
      <c r="B55" s="16" t="s">
        <v>66</v>
      </c>
      <c r="C55" s="17" t="s">
        <v>40</v>
      </c>
      <c r="D55" s="18"/>
      <c r="E55" s="17">
        <v>1.7340000000000001E-2</v>
      </c>
      <c r="F55" s="19">
        <f>127600.35*1.0218</f>
        <v>130382.03763000001</v>
      </c>
      <c r="G55" s="20">
        <f t="shared" si="0"/>
        <v>2260.8245325042003</v>
      </c>
      <c r="H55" s="42"/>
    </row>
    <row r="56" spans="1:8" s="14" customFormat="1" ht="31.5" x14ac:dyDescent="0.25">
      <c r="A56" s="2" t="s">
        <v>155</v>
      </c>
      <c r="B56" s="16" t="s">
        <v>67</v>
      </c>
      <c r="C56" s="17" t="s">
        <v>40</v>
      </c>
      <c r="D56" s="18"/>
      <c r="E56" s="17">
        <v>9.69E-2</v>
      </c>
      <c r="F56" s="19">
        <f>184572.32*1.0218</f>
        <v>188595.99657600001</v>
      </c>
      <c r="G56" s="20">
        <f t="shared" si="0"/>
        <v>18274.952068214399</v>
      </c>
      <c r="H56" s="42"/>
    </row>
    <row r="57" spans="1:8" s="14" customFormat="1" ht="31.5" x14ac:dyDescent="0.25">
      <c r="A57" s="2" t="s">
        <v>156</v>
      </c>
      <c r="B57" s="16" t="s">
        <v>68</v>
      </c>
      <c r="C57" s="17" t="s">
        <v>40</v>
      </c>
      <c r="D57" s="18"/>
      <c r="E57" s="17">
        <v>3.8760000000000003E-2</v>
      </c>
      <c r="F57" s="19">
        <f>311277.64*1.0218</f>
        <v>318063.49255200004</v>
      </c>
      <c r="G57" s="20">
        <f t="shared" si="0"/>
        <v>12328.140971315523</v>
      </c>
      <c r="H57" s="42"/>
    </row>
    <row r="58" spans="1:8" s="14" customFormat="1" ht="31.5" x14ac:dyDescent="0.25">
      <c r="A58" s="2" t="s">
        <v>157</v>
      </c>
      <c r="B58" s="16" t="s">
        <v>69</v>
      </c>
      <c r="C58" s="17" t="s">
        <v>40</v>
      </c>
      <c r="D58" s="18"/>
      <c r="E58" s="17">
        <v>3.0599999999999998E-3</v>
      </c>
      <c r="F58" s="19">
        <f>138651.08*1.0218</f>
        <v>141673.67354399999</v>
      </c>
      <c r="G58" s="20">
        <f t="shared" si="0"/>
        <v>433.52144104463991</v>
      </c>
      <c r="H58" s="42"/>
    </row>
    <row r="59" spans="1:8" s="14" customFormat="1" ht="31.5" x14ac:dyDescent="0.25">
      <c r="A59" s="2" t="s">
        <v>158</v>
      </c>
      <c r="B59" s="16" t="s">
        <v>70</v>
      </c>
      <c r="C59" s="17" t="s">
        <v>40</v>
      </c>
      <c r="D59" s="18"/>
      <c r="E59" s="17">
        <v>1.6320000000000001E-2</v>
      </c>
      <c r="F59" s="19">
        <f>227092.75*1.0218</f>
        <v>232043.37195</v>
      </c>
      <c r="G59" s="20">
        <f t="shared" si="0"/>
        <v>3786.9478302240004</v>
      </c>
      <c r="H59" s="42"/>
    </row>
    <row r="60" spans="1:8" s="14" customFormat="1" ht="31.5" x14ac:dyDescent="0.25">
      <c r="A60" s="2" t="s">
        <v>159</v>
      </c>
      <c r="B60" s="16" t="s">
        <v>71</v>
      </c>
      <c r="C60" s="17" t="s">
        <v>40</v>
      </c>
      <c r="D60" s="18"/>
      <c r="E60" s="17">
        <v>4.0800000000000003E-3</v>
      </c>
      <c r="F60" s="19">
        <f>204133.01*1.0218</f>
        <v>208583.10961800002</v>
      </c>
      <c r="G60" s="20">
        <f t="shared" si="0"/>
        <v>851.01908724144016</v>
      </c>
      <c r="H60" s="42"/>
    </row>
    <row r="61" spans="1:8" s="14" customFormat="1" ht="31.5" x14ac:dyDescent="0.25">
      <c r="A61" s="2" t="s">
        <v>160</v>
      </c>
      <c r="B61" s="16" t="s">
        <v>72</v>
      </c>
      <c r="C61" s="17" t="s">
        <v>40</v>
      </c>
      <c r="D61" s="18"/>
      <c r="E61" s="17">
        <v>4.4880000000000003E-2</v>
      </c>
      <c r="F61" s="19">
        <f>171857.23*1.0218</f>
        <v>175603.71761400002</v>
      </c>
      <c r="G61" s="20">
        <f t="shared" si="0"/>
        <v>7881.0948465163219</v>
      </c>
      <c r="H61" s="42"/>
    </row>
    <row r="62" spans="1:8" s="14" customFormat="1" ht="31.5" x14ac:dyDescent="0.25">
      <c r="A62" s="2" t="s">
        <v>161</v>
      </c>
      <c r="B62" s="16" t="s">
        <v>73</v>
      </c>
      <c r="C62" s="17" t="s">
        <v>40</v>
      </c>
      <c r="D62" s="18"/>
      <c r="E62" s="17">
        <v>0.11831999999999999</v>
      </c>
      <c r="F62" s="19">
        <f>229980.57*1.0218</f>
        <v>234994.14642600002</v>
      </c>
      <c r="G62" s="20">
        <f t="shared" si="0"/>
        <v>27804.507405124321</v>
      </c>
      <c r="H62" s="42"/>
    </row>
    <row r="63" spans="1:8" s="14" customFormat="1" ht="31.5" x14ac:dyDescent="0.25">
      <c r="A63" s="2" t="s">
        <v>162</v>
      </c>
      <c r="B63" s="16" t="s">
        <v>74</v>
      </c>
      <c r="C63" s="17" t="s">
        <v>40</v>
      </c>
      <c r="D63" s="18"/>
      <c r="E63" s="17">
        <v>4.0800000000000003E-2</v>
      </c>
      <c r="F63" s="19">
        <f>294061.8*1.0218</f>
        <v>300472.34723999997</v>
      </c>
      <c r="G63" s="20">
        <f t="shared" si="0"/>
        <v>12259.271767392</v>
      </c>
      <c r="H63" s="42"/>
    </row>
    <row r="64" spans="1:8" s="14" customFormat="1" ht="31.5" x14ac:dyDescent="0.25">
      <c r="A64" s="2" t="s">
        <v>163</v>
      </c>
      <c r="B64" s="16" t="s">
        <v>75</v>
      </c>
      <c r="C64" s="17" t="s">
        <v>40</v>
      </c>
      <c r="D64" s="18"/>
      <c r="E64" s="17">
        <v>1.0200000000000001E-2</v>
      </c>
      <c r="F64" s="19">
        <f>390129.72*1.0218</f>
        <v>398634.54789599997</v>
      </c>
      <c r="G64" s="20">
        <f t="shared" si="0"/>
        <v>4066.0723885391999</v>
      </c>
      <c r="H64" s="42"/>
    </row>
    <row r="65" spans="1:8" s="14" customFormat="1" ht="31.5" x14ac:dyDescent="0.25">
      <c r="A65" s="2" t="s">
        <v>164</v>
      </c>
      <c r="B65" s="16" t="s">
        <v>76</v>
      </c>
      <c r="C65" s="17" t="s">
        <v>40</v>
      </c>
      <c r="D65" s="18"/>
      <c r="E65" s="17">
        <v>3.0599999999999998E-3</v>
      </c>
      <c r="F65" s="19">
        <f>209310.98*1.0218</f>
        <v>213873.95936400001</v>
      </c>
      <c r="G65" s="20">
        <f t="shared" si="0"/>
        <v>654.45431565384001</v>
      </c>
      <c r="H65" s="42"/>
    </row>
    <row r="66" spans="1:8" s="14" customFormat="1" ht="31.5" x14ac:dyDescent="0.25">
      <c r="A66" s="2" t="s">
        <v>165</v>
      </c>
      <c r="B66" s="16" t="s">
        <v>77</v>
      </c>
      <c r="C66" s="17" t="s">
        <v>40</v>
      </c>
      <c r="D66" s="18"/>
      <c r="E66" s="17">
        <v>6.1199999999999996E-3</v>
      </c>
      <c r="F66" s="19">
        <f>260078.38*1.0218</f>
        <v>265748.08868400002</v>
      </c>
      <c r="G66" s="20">
        <f t="shared" si="0"/>
        <v>1626.37830274608</v>
      </c>
      <c r="H66" s="42"/>
    </row>
    <row r="67" spans="1:8" s="14" customFormat="1" ht="31.5" x14ac:dyDescent="0.25">
      <c r="A67" s="2" t="s">
        <v>166</v>
      </c>
      <c r="B67" s="16" t="s">
        <v>78</v>
      </c>
      <c r="C67" s="17" t="s">
        <v>40</v>
      </c>
      <c r="D67" s="18"/>
      <c r="E67" s="17">
        <v>1.8360000000000001E-2</v>
      </c>
      <c r="F67" s="19">
        <f>354292.22*1.0218</f>
        <v>362015.79039599997</v>
      </c>
      <c r="G67" s="20">
        <f t="shared" si="0"/>
        <v>6646.60991167056</v>
      </c>
      <c r="H67" s="42"/>
    </row>
    <row r="68" spans="1:8" s="14" customFormat="1" ht="31.5" x14ac:dyDescent="0.25">
      <c r="A68" s="2" t="s">
        <v>167</v>
      </c>
      <c r="B68" s="16" t="s">
        <v>79</v>
      </c>
      <c r="C68" s="17" t="s">
        <v>40</v>
      </c>
      <c r="D68" s="18"/>
      <c r="E68" s="17">
        <v>3.09E-2</v>
      </c>
      <c r="F68" s="19">
        <f>28915.06*1.0218</f>
        <v>29545.408308000002</v>
      </c>
      <c r="G68" s="20">
        <f t="shared" si="0"/>
        <v>912.95311671720003</v>
      </c>
      <c r="H68" s="42">
        <f>G41+G42+G43+G44+G45+G46+G47+G48+G49+G50+G51+G52+G53+G54+G55+G56+G57+G58+G59+G60+G61+G62+G63+G64+G65+G66+G67+G68</f>
        <v>499795.68228673044</v>
      </c>
    </row>
    <row r="69" spans="1:8" s="14" customFormat="1" ht="94.5" x14ac:dyDescent="0.25">
      <c r="A69" s="2" t="s">
        <v>168</v>
      </c>
      <c r="B69" s="16" t="s">
        <v>80</v>
      </c>
      <c r="C69" s="17" t="s">
        <v>22</v>
      </c>
      <c r="D69" s="18"/>
      <c r="E69" s="17">
        <v>2</v>
      </c>
      <c r="F69" s="19">
        <f>2472.99*1.0218</f>
        <v>2526.9011820000001</v>
      </c>
      <c r="G69" s="20">
        <f t="shared" si="0"/>
        <v>5053.8023640000001</v>
      </c>
      <c r="H69" s="42"/>
    </row>
    <row r="70" spans="1:8" s="14" customFormat="1" ht="94.5" x14ac:dyDescent="0.25">
      <c r="A70" s="2" t="s">
        <v>169</v>
      </c>
      <c r="B70" s="16" t="s">
        <v>81</v>
      </c>
      <c r="C70" s="17" t="s">
        <v>22</v>
      </c>
      <c r="D70" s="18"/>
      <c r="E70" s="17">
        <v>2</v>
      </c>
      <c r="F70" s="19">
        <f>1891.86*1.0218</f>
        <v>1933.1025480000001</v>
      </c>
      <c r="G70" s="20">
        <f t="shared" si="0"/>
        <v>3866.2050960000001</v>
      </c>
      <c r="H70" s="42"/>
    </row>
    <row r="71" spans="1:8" s="14" customFormat="1" ht="78.75" x14ac:dyDescent="0.25">
      <c r="A71" s="2" t="s">
        <v>170</v>
      </c>
      <c r="B71" s="16" t="s">
        <v>82</v>
      </c>
      <c r="C71" s="17" t="s">
        <v>36</v>
      </c>
      <c r="D71" s="18"/>
      <c r="E71" s="17">
        <v>40.799999999999997</v>
      </c>
      <c r="F71" s="19">
        <f>3567.48*1.0218</f>
        <v>3645.251064</v>
      </c>
      <c r="G71" s="20">
        <f t="shared" si="0"/>
        <v>148726.2434112</v>
      </c>
      <c r="H71" s="42"/>
    </row>
    <row r="72" spans="1:8" s="14" customFormat="1" ht="15.75" x14ac:dyDescent="0.25">
      <c r="A72" s="2" t="s">
        <v>171</v>
      </c>
      <c r="B72" s="16" t="s">
        <v>83</v>
      </c>
      <c r="C72" s="17" t="s">
        <v>36</v>
      </c>
      <c r="D72" s="18"/>
      <c r="E72" s="17">
        <v>57.68</v>
      </c>
      <c r="F72" s="19">
        <f>129.76*1.0218</f>
        <v>132.58876799999999</v>
      </c>
      <c r="G72" s="20">
        <f t="shared" si="0"/>
        <v>7647.720138239999</v>
      </c>
      <c r="H72" s="42"/>
    </row>
    <row r="73" spans="1:8" s="14" customFormat="1" ht="78.75" x14ac:dyDescent="0.25">
      <c r="A73" s="2" t="s">
        <v>172</v>
      </c>
      <c r="B73" s="16" t="s">
        <v>84</v>
      </c>
      <c r="C73" s="17" t="s">
        <v>36</v>
      </c>
      <c r="D73" s="18"/>
      <c r="E73" s="17">
        <v>122.4</v>
      </c>
      <c r="F73" s="19">
        <f>4587.01*1.0218</f>
        <v>4687.0068180000007</v>
      </c>
      <c r="G73" s="20">
        <f t="shared" si="0"/>
        <v>573689.6345232001</v>
      </c>
      <c r="H73" s="42"/>
    </row>
    <row r="74" spans="1:8" s="14" customFormat="1" ht="78.75" x14ac:dyDescent="0.25">
      <c r="A74" s="2" t="s">
        <v>173</v>
      </c>
      <c r="B74" s="16" t="s">
        <v>85</v>
      </c>
      <c r="C74" s="17" t="s">
        <v>36</v>
      </c>
      <c r="D74" s="18"/>
      <c r="E74" s="17">
        <v>87.72</v>
      </c>
      <c r="F74" s="19">
        <f>5947.55*1.0218</f>
        <v>6077.2065900000007</v>
      </c>
      <c r="G74" s="20">
        <f t="shared" si="0"/>
        <v>533092.56207480002</v>
      </c>
      <c r="H74" s="42"/>
    </row>
    <row r="75" spans="1:8" s="14" customFormat="1" ht="47.25" x14ac:dyDescent="0.25">
      <c r="A75" s="2" t="s">
        <v>174</v>
      </c>
      <c r="B75" s="16" t="s">
        <v>86</v>
      </c>
      <c r="C75" s="17" t="s">
        <v>33</v>
      </c>
      <c r="D75" s="18"/>
      <c r="E75" s="17">
        <v>1.8</v>
      </c>
      <c r="F75" s="19">
        <f>916.81*1.0218</f>
        <v>936.79645800000003</v>
      </c>
      <c r="G75" s="20">
        <f t="shared" si="0"/>
        <v>1686.2336244000001</v>
      </c>
      <c r="H75" s="42"/>
    </row>
    <row r="76" spans="1:8" s="14" customFormat="1" ht="78.75" x14ac:dyDescent="0.25">
      <c r="A76" s="2" t="s">
        <v>175</v>
      </c>
      <c r="B76" s="16" t="s">
        <v>87</v>
      </c>
      <c r="C76" s="17" t="s">
        <v>88</v>
      </c>
      <c r="D76" s="18"/>
      <c r="E76" s="17">
        <v>4</v>
      </c>
      <c r="F76" s="19">
        <f>1421.05*1.0218</f>
        <v>1452.02889</v>
      </c>
      <c r="G76" s="20">
        <f t="shared" si="0"/>
        <v>5808.1155600000002</v>
      </c>
      <c r="H76" s="42"/>
    </row>
    <row r="77" spans="1:8" s="14" customFormat="1" ht="78.75" x14ac:dyDescent="0.25">
      <c r="A77" s="2" t="s">
        <v>176</v>
      </c>
      <c r="B77" s="16" t="s">
        <v>89</v>
      </c>
      <c r="C77" s="17" t="s">
        <v>34</v>
      </c>
      <c r="D77" s="18"/>
      <c r="E77" s="17">
        <v>20</v>
      </c>
      <c r="F77" s="19">
        <f>1421.05*1.0218</f>
        <v>1452.02889</v>
      </c>
      <c r="G77" s="20">
        <f t="shared" si="0"/>
        <v>29040.577799999999</v>
      </c>
      <c r="H77" s="42"/>
    </row>
    <row r="78" spans="1:8" s="14" customFormat="1" ht="31.5" x14ac:dyDescent="0.25">
      <c r="A78" s="2" t="s">
        <v>177</v>
      </c>
      <c r="B78" s="16" t="s">
        <v>90</v>
      </c>
      <c r="C78" s="17" t="s">
        <v>33</v>
      </c>
      <c r="D78" s="18"/>
      <c r="E78" s="17">
        <v>0.51</v>
      </c>
      <c r="F78" s="19">
        <f>2890.32*1.0218</f>
        <v>2953.3289760000002</v>
      </c>
      <c r="G78" s="20">
        <f t="shared" ref="G78:G85" si="1">E78*F78</f>
        <v>1506.1977777600002</v>
      </c>
      <c r="H78" s="42"/>
    </row>
    <row r="79" spans="1:8" s="14" customFormat="1" ht="47.25" x14ac:dyDescent="0.25">
      <c r="A79" s="2" t="s">
        <v>178</v>
      </c>
      <c r="B79" s="16" t="s">
        <v>91</v>
      </c>
      <c r="C79" s="17" t="s">
        <v>36</v>
      </c>
      <c r="D79" s="18"/>
      <c r="E79" s="17">
        <v>81.599999999999994</v>
      </c>
      <c r="F79" s="19">
        <f>44.64*1.0218</f>
        <v>45.613151999999999</v>
      </c>
      <c r="G79" s="20">
        <f t="shared" si="1"/>
        <v>3722.0332031999997</v>
      </c>
      <c r="H79" s="42"/>
    </row>
    <row r="80" spans="1:8" s="14" customFormat="1" ht="47.25" x14ac:dyDescent="0.25">
      <c r="A80" s="2" t="s">
        <v>179</v>
      </c>
      <c r="B80" s="16" t="s">
        <v>92</v>
      </c>
      <c r="C80" s="17" t="s">
        <v>36</v>
      </c>
      <c r="D80" s="18"/>
      <c r="E80" s="17">
        <v>15.3</v>
      </c>
      <c r="F80" s="19">
        <f>96.56*1.0218</f>
        <v>98.665008</v>
      </c>
      <c r="G80" s="20">
        <f t="shared" si="1"/>
        <v>1509.5746224000002</v>
      </c>
      <c r="H80" s="42"/>
    </row>
    <row r="81" spans="1:13" s="14" customFormat="1" ht="31.5" x14ac:dyDescent="0.25">
      <c r="A81" s="2" t="s">
        <v>180</v>
      </c>
      <c r="B81" s="16" t="s">
        <v>93</v>
      </c>
      <c r="C81" s="17" t="s">
        <v>40</v>
      </c>
      <c r="D81" s="18"/>
      <c r="E81" s="17">
        <v>2.0400000000000001E-2</v>
      </c>
      <c r="F81" s="19">
        <f>3039801.75*1.0218</f>
        <v>3106069.4281500001</v>
      </c>
      <c r="G81" s="20">
        <f t="shared" si="1"/>
        <v>63363.816334260009</v>
      </c>
      <c r="H81" s="42"/>
    </row>
    <row r="82" spans="1:13" s="14" customFormat="1" ht="31.5" x14ac:dyDescent="0.25">
      <c r="A82" s="2" t="s">
        <v>181</v>
      </c>
      <c r="B82" s="16" t="s">
        <v>94</v>
      </c>
      <c r="C82" s="17" t="s">
        <v>40</v>
      </c>
      <c r="D82" s="18"/>
      <c r="E82" s="17">
        <v>3.0599999999999999E-2</v>
      </c>
      <c r="F82" s="19">
        <f>170119.68*1.0218</f>
        <v>173828.289024</v>
      </c>
      <c r="G82" s="20">
        <f t="shared" si="1"/>
        <v>5319.1456441343998</v>
      </c>
      <c r="H82" s="42"/>
    </row>
    <row r="83" spans="1:13" s="14" customFormat="1" ht="31.5" x14ac:dyDescent="0.25">
      <c r="A83" s="2" t="s">
        <v>182</v>
      </c>
      <c r="B83" s="16" t="s">
        <v>95</v>
      </c>
      <c r="C83" s="17" t="s">
        <v>49</v>
      </c>
      <c r="D83" s="18"/>
      <c r="E83" s="17">
        <v>2.0400000000000001E-2</v>
      </c>
      <c r="F83" s="19">
        <f>2084020.28*1.0218</f>
        <v>2129451.9221040001</v>
      </c>
      <c r="G83" s="20">
        <f t="shared" si="1"/>
        <v>43440.819210921603</v>
      </c>
      <c r="H83" s="42"/>
    </row>
    <row r="84" spans="1:13" s="14" customFormat="1" ht="31.5" x14ac:dyDescent="0.25">
      <c r="A84" s="2" t="s">
        <v>183</v>
      </c>
      <c r="B84" s="16" t="s">
        <v>96</v>
      </c>
      <c r="C84" s="17" t="s">
        <v>49</v>
      </c>
      <c r="D84" s="18"/>
      <c r="E84" s="17">
        <v>2.0400000000000001E-2</v>
      </c>
      <c r="F84" s="19">
        <f>2622992.06*1.0218</f>
        <v>2680173.2869080002</v>
      </c>
      <c r="G84" s="20">
        <f t="shared" si="1"/>
        <v>54675.535052923209</v>
      </c>
      <c r="H84" s="42">
        <f>G69+G70+G71+G72+G73+G74+G75+G76+G77+G78+G79+G80+G81+G82+G83+G84</f>
        <v>1482148.2164374397</v>
      </c>
    </row>
    <row r="85" spans="1:13" s="14" customFormat="1" ht="31.5" x14ac:dyDescent="0.25">
      <c r="A85" s="2" t="s">
        <v>184</v>
      </c>
      <c r="B85" s="16" t="s">
        <v>28</v>
      </c>
      <c r="C85" s="17" t="s">
        <v>22</v>
      </c>
      <c r="D85" s="18"/>
      <c r="E85" s="17">
        <v>1</v>
      </c>
      <c r="F85" s="19">
        <f>3537.03*1.0218</f>
        <v>3614.1372540000002</v>
      </c>
      <c r="G85" s="20">
        <f t="shared" si="1"/>
        <v>3614.1372540000002</v>
      </c>
      <c r="H85" s="42"/>
    </row>
    <row r="86" spans="1:13" s="14" customFormat="1" ht="31.5" x14ac:dyDescent="0.25">
      <c r="A86" s="2" t="s">
        <v>185</v>
      </c>
      <c r="B86" s="16" t="s">
        <v>42</v>
      </c>
      <c r="C86" s="17" t="s">
        <v>22</v>
      </c>
      <c r="D86" s="18"/>
      <c r="E86" s="17">
        <v>2</v>
      </c>
      <c r="F86" s="19">
        <f>4365.54*1.0218</f>
        <v>4460.708772</v>
      </c>
      <c r="G86" s="20">
        <f t="shared" ref="G86" si="2">E86*F86</f>
        <v>8921.4175439999999</v>
      </c>
      <c r="H86" s="42"/>
    </row>
    <row r="87" spans="1:13" s="1" customFormat="1" ht="15.75" x14ac:dyDescent="0.25">
      <c r="A87" s="2" t="s">
        <v>186</v>
      </c>
      <c r="B87" s="3" t="s">
        <v>13</v>
      </c>
      <c r="C87" s="22"/>
      <c r="D87" s="22"/>
      <c r="E87" s="4"/>
      <c r="F87" s="23"/>
      <c r="G87" s="56">
        <f>SUM(G14:G86)</f>
        <v>2311160.7162039303</v>
      </c>
      <c r="I87" s="11"/>
      <c r="J87" s="11"/>
      <c r="K87" s="11"/>
      <c r="L87" s="11"/>
      <c r="M87" s="11"/>
    </row>
    <row r="88" spans="1:13" s="1" customFormat="1" ht="15.75" x14ac:dyDescent="0.25">
      <c r="A88" s="55" t="s">
        <v>20</v>
      </c>
      <c r="B88" s="55"/>
      <c r="C88" s="55"/>
      <c r="D88" s="55"/>
      <c r="E88" s="55"/>
      <c r="F88" s="55"/>
      <c r="G88" s="55"/>
    </row>
    <row r="89" spans="1:13" s="21" customFormat="1" ht="63" customHeight="1" x14ac:dyDescent="0.25">
      <c r="A89" s="2" t="s">
        <v>7</v>
      </c>
      <c r="B89" s="16" t="s">
        <v>97</v>
      </c>
      <c r="C89" s="17" t="s">
        <v>22</v>
      </c>
      <c r="D89" s="18"/>
      <c r="E89" s="17">
        <v>1</v>
      </c>
      <c r="F89" s="19"/>
      <c r="G89" s="20"/>
    </row>
    <row r="90" spans="1:13" s="21" customFormat="1" ht="63" x14ac:dyDescent="0.25">
      <c r="A90" s="2" t="s">
        <v>114</v>
      </c>
      <c r="B90" s="16" t="s">
        <v>98</v>
      </c>
      <c r="C90" s="17" t="s">
        <v>22</v>
      </c>
      <c r="D90" s="18"/>
      <c r="E90" s="17">
        <v>1</v>
      </c>
      <c r="F90" s="19"/>
      <c r="G90" s="20"/>
    </row>
    <row r="91" spans="1:13" s="21" customFormat="1" ht="47.25" x14ac:dyDescent="0.25">
      <c r="A91" s="2" t="s">
        <v>119</v>
      </c>
      <c r="B91" s="16" t="s">
        <v>99</v>
      </c>
      <c r="C91" s="17" t="s">
        <v>34</v>
      </c>
      <c r="D91" s="18"/>
      <c r="E91" s="17">
        <v>1</v>
      </c>
      <c r="F91" s="19"/>
      <c r="G91" s="20"/>
    </row>
    <row r="92" spans="1:13" s="21" customFormat="1" ht="47.25" x14ac:dyDescent="0.25">
      <c r="A92" s="2" t="s">
        <v>115</v>
      </c>
      <c r="B92" s="16" t="s">
        <v>100</v>
      </c>
      <c r="C92" s="17" t="s">
        <v>22</v>
      </c>
      <c r="D92" s="18"/>
      <c r="E92" s="17">
        <v>6</v>
      </c>
      <c r="F92" s="19"/>
      <c r="G92" s="20"/>
    </row>
    <row r="93" spans="1:13" s="21" customFormat="1" ht="47.25" x14ac:dyDescent="0.25">
      <c r="A93" s="2" t="s">
        <v>117</v>
      </c>
      <c r="B93" s="16" t="s">
        <v>101</v>
      </c>
      <c r="C93" s="17" t="s">
        <v>22</v>
      </c>
      <c r="D93" s="18"/>
      <c r="E93" s="17">
        <v>12</v>
      </c>
      <c r="F93" s="19"/>
      <c r="G93" s="20"/>
    </row>
    <row r="94" spans="1:13" s="21" customFormat="1" ht="47.25" x14ac:dyDescent="0.25">
      <c r="A94" s="2" t="s">
        <v>118</v>
      </c>
      <c r="B94" s="16" t="s">
        <v>102</v>
      </c>
      <c r="C94" s="17" t="s">
        <v>22</v>
      </c>
      <c r="D94" s="18"/>
      <c r="E94" s="17">
        <v>6</v>
      </c>
      <c r="F94" s="19"/>
      <c r="G94" s="20"/>
    </row>
    <row r="95" spans="1:13" s="21" customFormat="1" ht="47.25" x14ac:dyDescent="0.25">
      <c r="A95" s="2" t="s">
        <v>120</v>
      </c>
      <c r="B95" s="16" t="s">
        <v>103</v>
      </c>
      <c r="C95" s="41" t="s">
        <v>22</v>
      </c>
      <c r="D95" s="18"/>
      <c r="E95" s="17">
        <v>6</v>
      </c>
      <c r="F95" s="19"/>
      <c r="G95" s="20"/>
    </row>
    <row r="96" spans="1:13" s="21" customFormat="1" ht="63" x14ac:dyDescent="0.25">
      <c r="A96" s="2" t="s">
        <v>121</v>
      </c>
      <c r="B96" s="16" t="s">
        <v>104</v>
      </c>
      <c r="C96" s="41" t="s">
        <v>22</v>
      </c>
      <c r="D96" s="18"/>
      <c r="E96" s="17">
        <v>8</v>
      </c>
      <c r="F96" s="19"/>
      <c r="G96" s="20"/>
    </row>
    <row r="97" spans="1:13" s="21" customFormat="1" ht="47.25" x14ac:dyDescent="0.25">
      <c r="A97" s="2" t="s">
        <v>122</v>
      </c>
      <c r="B97" s="16" t="s">
        <v>105</v>
      </c>
      <c r="C97" s="41" t="s">
        <v>22</v>
      </c>
      <c r="D97" s="18"/>
      <c r="E97" s="17">
        <v>14</v>
      </c>
      <c r="F97" s="19"/>
      <c r="G97" s="20"/>
    </row>
    <row r="98" spans="1:13" s="21" customFormat="1" ht="47.25" x14ac:dyDescent="0.25">
      <c r="A98" s="2" t="s">
        <v>123</v>
      </c>
      <c r="B98" s="16" t="s">
        <v>106</v>
      </c>
      <c r="C98" s="41" t="s">
        <v>22</v>
      </c>
      <c r="D98" s="18"/>
      <c r="E98" s="17">
        <v>1</v>
      </c>
      <c r="F98" s="19"/>
      <c r="G98" s="20"/>
    </row>
    <row r="99" spans="1:13" s="21" customFormat="1" ht="47.25" x14ac:dyDescent="0.25">
      <c r="A99" s="2" t="s">
        <v>124</v>
      </c>
      <c r="B99" s="16" t="s">
        <v>107</v>
      </c>
      <c r="C99" s="41" t="s">
        <v>36</v>
      </c>
      <c r="D99" s="18"/>
      <c r="E99" s="17">
        <v>90</v>
      </c>
      <c r="F99" s="19"/>
      <c r="G99" s="20"/>
    </row>
    <row r="100" spans="1:13" s="21" customFormat="1" ht="47.25" x14ac:dyDescent="0.25">
      <c r="A100" s="2" t="s">
        <v>125</v>
      </c>
      <c r="B100" s="16" t="s">
        <v>108</v>
      </c>
      <c r="C100" s="41" t="s">
        <v>36</v>
      </c>
      <c r="D100" s="18"/>
      <c r="E100" s="17">
        <v>286</v>
      </c>
      <c r="F100" s="19"/>
      <c r="G100" s="20"/>
    </row>
    <row r="101" spans="1:13" s="21" customFormat="1" ht="47.25" x14ac:dyDescent="0.25">
      <c r="A101" s="2" t="s">
        <v>126</v>
      </c>
      <c r="B101" s="16" t="s">
        <v>109</v>
      </c>
      <c r="C101" s="41" t="s">
        <v>36</v>
      </c>
      <c r="D101" s="18"/>
      <c r="E101" s="17">
        <v>813</v>
      </c>
      <c r="F101" s="19"/>
      <c r="G101" s="20"/>
    </row>
    <row r="102" spans="1:13" s="21" customFormat="1" ht="47.25" x14ac:dyDescent="0.25">
      <c r="A102" s="2" t="s">
        <v>127</v>
      </c>
      <c r="B102" s="16" t="s">
        <v>110</v>
      </c>
      <c r="C102" s="41" t="s">
        <v>36</v>
      </c>
      <c r="D102" s="18"/>
      <c r="E102" s="17">
        <v>135</v>
      </c>
      <c r="F102" s="19"/>
      <c r="G102" s="20"/>
    </row>
    <row r="103" spans="1:13" s="21" customFormat="1" ht="47.25" x14ac:dyDescent="0.25">
      <c r="A103" s="2" t="s">
        <v>128</v>
      </c>
      <c r="B103" s="16" t="s">
        <v>111</v>
      </c>
      <c r="C103" s="41" t="s">
        <v>36</v>
      </c>
      <c r="D103" s="18"/>
      <c r="E103" s="17">
        <v>45</v>
      </c>
      <c r="F103" s="19"/>
      <c r="G103" s="20"/>
    </row>
    <row r="104" spans="1:13" s="21" customFormat="1" ht="63" x14ac:dyDescent="0.25">
      <c r="A104" s="2" t="s">
        <v>129</v>
      </c>
      <c r="B104" s="16" t="s">
        <v>112</v>
      </c>
      <c r="C104" s="41" t="s">
        <v>22</v>
      </c>
      <c r="D104" s="18"/>
      <c r="E104" s="17">
        <v>1</v>
      </c>
      <c r="F104" s="19"/>
      <c r="G104" s="20"/>
    </row>
    <row r="105" spans="1:13" s="21" customFormat="1" ht="15.75" x14ac:dyDescent="0.25">
      <c r="A105" s="2"/>
      <c r="B105" s="3" t="s">
        <v>21</v>
      </c>
      <c r="C105" s="22"/>
      <c r="D105" s="22"/>
      <c r="E105" s="4"/>
      <c r="F105" s="23"/>
      <c r="G105" s="56">
        <f>SUM(G89:G104)</f>
        <v>0</v>
      </c>
      <c r="I105" s="24"/>
      <c r="J105" s="24"/>
      <c r="K105" s="24"/>
      <c r="L105" s="24"/>
      <c r="M105" s="24"/>
    </row>
    <row r="106" spans="1:13" s="21" customFormat="1" ht="15.75" x14ac:dyDescent="0.25">
      <c r="A106" s="15"/>
      <c r="B106" s="25"/>
      <c r="C106" s="26"/>
      <c r="D106" s="27"/>
      <c r="E106" s="26"/>
      <c r="F106" s="28"/>
      <c r="G106" s="29"/>
    </row>
    <row r="107" spans="1:13" s="32" customFormat="1" ht="15.75" x14ac:dyDescent="0.25">
      <c r="A107" s="30" t="s">
        <v>6</v>
      </c>
      <c r="B107" s="44"/>
      <c r="C107" s="31"/>
      <c r="D107" s="44"/>
      <c r="E107" s="31"/>
      <c r="I107" s="33"/>
      <c r="J107" s="33"/>
      <c r="K107" s="33"/>
      <c r="L107" s="33"/>
      <c r="M107" s="33"/>
    </row>
    <row r="108" spans="1:13" s="32" customFormat="1" ht="15.75" x14ac:dyDescent="0.25">
      <c r="A108" s="46"/>
      <c r="B108" s="46"/>
      <c r="C108" s="46"/>
      <c r="D108" s="46"/>
      <c r="E108" s="46"/>
      <c r="G108" s="34"/>
      <c r="I108" s="33"/>
      <c r="J108" s="33"/>
      <c r="K108" s="33"/>
      <c r="L108" s="33"/>
      <c r="M108" s="33"/>
    </row>
    <row r="109" spans="1:13" s="32" customFormat="1" ht="15.75" x14ac:dyDescent="0.25">
      <c r="A109" s="35" t="s">
        <v>10</v>
      </c>
      <c r="B109" s="36"/>
      <c r="C109" s="37"/>
      <c r="D109" s="38"/>
      <c r="E109" s="39"/>
      <c r="F109" s="40" t="s">
        <v>11</v>
      </c>
      <c r="I109" s="33"/>
      <c r="J109" s="33"/>
      <c r="K109" s="33"/>
      <c r="L109" s="33"/>
      <c r="M109" s="33"/>
    </row>
    <row r="110" spans="1:13" x14ac:dyDescent="0.25">
      <c r="I110" s="12"/>
      <c r="J110" s="12"/>
      <c r="K110" s="12"/>
      <c r="L110" s="12"/>
      <c r="M110" s="12"/>
    </row>
  </sheetData>
  <mergeCells count="9">
    <mergeCell ref="A3:B3"/>
    <mergeCell ref="A4:B4"/>
    <mergeCell ref="D3:G3"/>
    <mergeCell ref="A108:E108"/>
    <mergeCell ref="A13:G13"/>
    <mergeCell ref="A10:G10"/>
    <mergeCell ref="A8:G8"/>
    <mergeCell ref="A9:G9"/>
    <mergeCell ref="A88:G88"/>
  </mergeCells>
  <pageMargins left="0.78740157480314965" right="0.39370078740157483" top="0.39370078740157483" bottom="0.39370078740157483" header="0.19685039370078741" footer="0.19685039370078741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000</vt:lpstr>
      <vt:lpstr>'000'!Область_печати</vt:lpstr>
    </vt:vector>
  </TitlesOfParts>
  <Company>ТЭЦ-6, г. Братск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ПК</dc:creator>
  <cp:lastModifiedBy>Timoshenko Aleksandra</cp:lastModifiedBy>
  <cp:lastPrinted>2022-01-25T06:55:54Z</cp:lastPrinted>
  <dcterms:created xsi:type="dcterms:W3CDTF">2011-02-15T02:54:49Z</dcterms:created>
  <dcterms:modified xsi:type="dcterms:W3CDTF">2023-06-20T10:38:27Z</dcterms:modified>
</cp:coreProperties>
</file>